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sutilities.sharepoint.com/sites/RERP/Shared Documents/General/Website/"/>
    </mc:Choice>
  </mc:AlternateContent>
  <xr:revisionPtr revIDLastSave="79" documentId="8_{746B53E0-2928-4610-BF7C-134E024A6AA1}" xr6:coauthVersionLast="47" xr6:coauthVersionMax="47" xr10:uidLastSave="{9195B9A5-3E21-47CD-9475-15917FAFD1FC}"/>
  <bookViews>
    <workbookView xWindow="28680" yWindow="-120" windowWidth="29040" windowHeight="15840" firstSheet="1" activeTab="1" xr2:uid="{CA512F24-9A95-4DA5-9AC8-272D13380FAC}"/>
  </bookViews>
  <sheets>
    <sheet name="Sheet2" sheetId="2" state="hidden" r:id="rId1"/>
    <sheet name="Sizing Calculato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3" l="1"/>
  <c r="D60" i="3"/>
  <c r="E60" i="3"/>
  <c r="F60" i="3"/>
  <c r="B60" i="3"/>
  <c r="B32" i="3"/>
  <c r="B25" i="3"/>
  <c r="B24" i="3"/>
  <c r="C59" i="3" l="1"/>
  <c r="D59" i="3"/>
  <c r="E59" i="3"/>
  <c r="F59" i="3"/>
  <c r="B59" i="3"/>
  <c r="K71" i="3" l="1"/>
  <c r="Q64" i="3"/>
  <c r="N59" i="3"/>
  <c r="N54" i="3"/>
  <c r="F58" i="3"/>
  <c r="F61" i="3" s="1"/>
  <c r="E58" i="3"/>
  <c r="E61" i="3" s="1"/>
  <c r="D58" i="3"/>
  <c r="D61" i="3" s="1"/>
  <c r="C58" i="3"/>
  <c r="C61" i="3" s="1"/>
  <c r="B58" i="3"/>
  <c r="B61" i="3" s="1"/>
  <c r="D19" i="3"/>
  <c r="C18" i="3"/>
  <c r="C17" i="3"/>
  <c r="C16" i="3"/>
  <c r="C15" i="3"/>
  <c r="C14" i="3"/>
  <c r="C13" i="3"/>
  <c r="C12" i="3"/>
  <c r="C11" i="3"/>
  <c r="C10" i="3"/>
  <c r="C9" i="3"/>
  <c r="C8" i="3"/>
  <c r="C7" i="3"/>
  <c r="B63" i="3" l="1"/>
  <c r="B19" i="3"/>
  <c r="B33" i="3" s="1"/>
  <c r="C63" i="3"/>
  <c r="C64" i="3" s="1"/>
  <c r="D63" i="3"/>
  <c r="D64" i="3" s="1"/>
  <c r="E63" i="3"/>
  <c r="E64" i="3" s="1"/>
  <c r="F63" i="3"/>
  <c r="F64" i="3" s="1"/>
  <c r="B27" i="3"/>
  <c r="B26" i="3"/>
  <c r="B28" i="3" l="1"/>
  <c r="B36" i="3" s="1"/>
  <c r="B37" i="3" s="1"/>
  <c r="B64" i="3"/>
  <c r="B69" i="3"/>
  <c r="B67" i="3" l="1"/>
  <c r="C67" i="3" s="1"/>
  <c r="B68" i="3"/>
  <c r="P64" i="3"/>
  <c r="C1" i="2" l="1"/>
  <c r="B1" i="2"/>
</calcChain>
</file>

<file path=xl/sharedStrings.xml><?xml version="1.0" encoding="utf-8"?>
<sst xmlns="http://schemas.openxmlformats.org/spreadsheetml/2006/main" count="113" uniqueCount="105">
  <si>
    <t>Colorado Springs Utilities</t>
  </si>
  <si>
    <t>Maximum Net Metering Size for Residential Accounts</t>
  </si>
  <si>
    <t>Missing months will be estimated from a typical residential annual consumption profile</t>
  </si>
  <si>
    <t>Actual kWh</t>
  </si>
  <si>
    <t>Estimated kWh</t>
  </si>
  <si>
    <t>Typical Residential Load Profile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</si>
  <si>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</si>
  <si>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</si>
  <si>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</si>
  <si>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</si>
  <si>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</si>
  <si>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</si>
  <si>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</si>
  <si>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</si>
  <si>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</si>
  <si>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</si>
  <si>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</si>
  <si>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</si>
  <si>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</si>
  <si>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2. If Fewer than 4 months of data are available (only for new construction or recent move-ins), enter the following data:</t>
  </si>
  <si>
    <t>Year Built</t>
  </si>
  <si>
    <t xml:space="preserve">Year built from El Paso County assessor records </t>
  </si>
  <si>
    <t>https://property.spatialest.com/co/elpaso/#/</t>
  </si>
  <si>
    <t>Livable Area</t>
  </si>
  <si>
    <t>Square feet, Livable area from El Paso County assessor records, including finished basement area</t>
  </si>
  <si>
    <t>Adjusted Year Built</t>
  </si>
  <si>
    <t>Adjusted Livable Area</t>
  </si>
  <si>
    <t>Pre1980 Regression</t>
  </si>
  <si>
    <t>Post1980 Regression</t>
  </si>
  <si>
    <t>Estimated Annual Consumption</t>
  </si>
  <si>
    <t>Vehicle Purchase Date</t>
  </si>
  <si>
    <t>Enter date of new EV registration in last 11 months, if applicable (proof of registration required)</t>
  </si>
  <si>
    <t>Months of additional EV credit</t>
  </si>
  <si>
    <t xml:space="preserve">Based on the months that the customer did not have the EV but will in the future.  </t>
  </si>
  <si>
    <t>Consumption Adjustment for EV</t>
  </si>
  <si>
    <t>4. Maximum System Size for Net Metering</t>
  </si>
  <si>
    <t>120% Production limit for Net Metering</t>
  </si>
  <si>
    <t>kWh/year</t>
  </si>
  <si>
    <t>Net Metering System Size limit</t>
  </si>
  <si>
    <t>kW AC</t>
  </si>
  <si>
    <t>Array 1</t>
  </si>
  <si>
    <t>Array 2</t>
  </si>
  <si>
    <t>Array 3</t>
  </si>
  <si>
    <t>Array 4</t>
  </si>
  <si>
    <t>Array 5</t>
  </si>
  <si>
    <t>Number of Panels</t>
  </si>
  <si>
    <t>Enter the number of panels in the array</t>
  </si>
  <si>
    <t>Tilt (deg)</t>
  </si>
  <si>
    <t>Enter the tilt from horizontal</t>
  </si>
  <si>
    <t>Azimuth (deg)</t>
  </si>
  <si>
    <t>Orientation De-rate Factor</t>
  </si>
  <si>
    <t>(variable, based on orientation)</t>
  </si>
  <si>
    <t>Shading (%)</t>
  </si>
  <si>
    <t>Inverter Efficiency</t>
  </si>
  <si>
    <t>Assumed Array losses</t>
  </si>
  <si>
    <t>AC KWatts output</t>
  </si>
  <si>
    <t>Estimated Annual Production kwh/year</t>
  </si>
  <si>
    <t>6. System Overview</t>
  </si>
  <si>
    <t>Estimated Annual production</t>
  </si>
  <si>
    <t>annual production constant</t>
  </si>
  <si>
    <t>Tilt Angle from Horizontal</t>
  </si>
  <si>
    <t>Orientation</t>
  </si>
  <si>
    <t>Degrees</t>
  </si>
  <si>
    <t>Engineering Estimate - assuming standard capacity factor losses</t>
  </si>
  <si>
    <t>Array Details</t>
  </si>
  <si>
    <t>Losses</t>
  </si>
  <si>
    <t>Fixed value - estimated loss from nameplate</t>
  </si>
  <si>
    <t>3. Recently Purchased Electric Vehicle Added Load Credit</t>
  </si>
  <si>
    <t>Total Estimated AC Kwatts output</t>
  </si>
  <si>
    <t>(suggested value, based on inverter specs, user can override)</t>
  </si>
  <si>
    <t>(user defined based on shading analysis results)</t>
  </si>
  <si>
    <t>N (0)</t>
  </si>
  <si>
    <t>NNE (22.5)</t>
  </si>
  <si>
    <t>NE (45)</t>
  </si>
  <si>
    <t>ENE (67.5)</t>
  </si>
  <si>
    <t>E (90)</t>
  </si>
  <si>
    <t>ESE (112.5)</t>
  </si>
  <si>
    <t>SE (135)</t>
  </si>
  <si>
    <t>SSE (157.5)</t>
  </si>
  <si>
    <t>S (180)</t>
  </si>
  <si>
    <t>SSW (202.5)</t>
  </si>
  <si>
    <t>SW (225)</t>
  </si>
  <si>
    <t>WSW (247.5)</t>
  </si>
  <si>
    <t>W (270)</t>
  </si>
  <si>
    <t>WNW (292.5)</t>
  </si>
  <si>
    <t>NW (315)</t>
  </si>
  <si>
    <t>NNW (337.5)</t>
  </si>
  <si>
    <t>Module PTC Rating (wattage)</t>
  </si>
  <si>
    <t>System Components</t>
  </si>
  <si>
    <t>5. If more detailed information is available, enter the array details to calculate losses and more accurately estimate system size</t>
  </si>
  <si>
    <t>Inverter Type</t>
  </si>
  <si>
    <t>PTC Rating</t>
  </si>
  <si>
    <t xml:space="preserve">PV module </t>
  </si>
  <si>
    <t xml:space="preserve">Enter the PTC rating of the PV module. Found here: </t>
  </si>
  <si>
    <t>https://solarequipment.energy.ca.gov/Home/PVModuleList</t>
  </si>
  <si>
    <t>Typically between 96%-99%. Found here:</t>
  </si>
  <si>
    <t>https://solarequipment.energy.ca.gov/Home/InverterSolarList</t>
  </si>
  <si>
    <t>Or if PTC is not known, Enter the module wattage here. This will result in less accurate results.</t>
  </si>
  <si>
    <t>Revised 4/2023</t>
  </si>
  <si>
    <t>Highlighted cells are for input</t>
  </si>
  <si>
    <t>Nameplate Wattage</t>
  </si>
  <si>
    <t>1. Enter monthly customer consumption, in kWh, for most recent year, as data is available</t>
  </si>
  <si>
    <t>Enter the Azimuth orientation of the array</t>
  </si>
  <si>
    <t>Enter the shading factor, found on shading report</t>
  </si>
  <si>
    <t>Or if using Google sunroof (total hours of sunlight/1960) = 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</si>
</sst>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0.0000"/>
    <numFmt numFmtId="167" formatCode="0\ &quot;kWh/year&quot;"/>
    <numFmt numFmtId="168" formatCode="_(* #,##0_);_(* \(#,##0\);_(* &quot;-&quot;??_);_(@_)"/>
    <numFmt numFmtId="169" formatCode="_(* #,##0.000_);_(* \(#,##0.000\);_(* &quot;-&quot;??_);_(@_)"/>
    <numFmt numFmtId="170" formatCode="_(* #,##0.0_);_(* \(#,##0.0\);_(* &quot;-&quot;???_);_(@_)"/>
    <numFmt numFmtId="171" formatCode="#,##0.000_);\(#,##0.000\)"/>
    <numFmt numFmtId="172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wrapText="1"/>
    </xf>
    <xf numFmtId="0" fontId="7" fillId="0" borderId="0" xfId="0" applyFont="1" applyAlignment="1" applyProtection="1">
      <alignment horizontal="right" wrapText="1"/>
      <protection hidden="1"/>
    </xf>
    <xf numFmtId="0" fontId="0" fillId="0" borderId="0" xfId="0" applyAlignment="1">
      <alignment horizontal="right"/>
    </xf>
    <xf numFmtId="0" fontId="2" fillId="2" borderId="1" xfId="3" applyProtection="1">
      <protection locked="0"/>
    </xf>
    <xf numFmtId="164" fontId="8" fillId="0" borderId="0" xfId="1" applyNumberFormat="1" applyFont="1" applyProtection="1"/>
    <xf numFmtId="165" fontId="7" fillId="0" borderId="0" xfId="2" applyNumberFormat="1" applyFont="1" applyFill="1" applyProtection="1">
      <protection hidden="1"/>
    </xf>
    <xf numFmtId="165" fontId="0" fillId="0" borderId="0" xfId="2" applyNumberFormat="1" applyFont="1" applyProtection="1"/>
    <xf numFmtId="166" fontId="0" fillId="0" borderId="0" xfId="0" applyNumberForma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6" fillId="0" borderId="0" xfId="4" applyProtection="1"/>
    <xf numFmtId="0" fontId="9" fillId="0" borderId="0" xfId="0" applyFont="1" applyProtection="1">
      <protection hidden="1"/>
    </xf>
    <xf numFmtId="167" fontId="4" fillId="0" borderId="0" xfId="0" applyNumberFormat="1" applyFont="1" applyAlignment="1">
      <alignment horizont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14" fontId="2" fillId="2" borderId="1" xfId="3" applyNumberFormat="1" applyAlignment="1" applyProtection="1">
      <alignment horizontal="center"/>
      <protection locked="0"/>
    </xf>
    <xf numFmtId="0" fontId="9" fillId="0" borderId="0" xfId="0" applyFont="1"/>
    <xf numFmtId="43" fontId="9" fillId="0" borderId="0" xfId="1" applyFont="1" applyAlignment="1" applyProtection="1">
      <alignment horizontal="center"/>
    </xf>
    <xf numFmtId="0" fontId="10" fillId="0" borderId="0" xfId="0" applyFont="1"/>
    <xf numFmtId="168" fontId="0" fillId="0" borderId="0" xfId="1" applyNumberFormat="1" applyFont="1" applyProtection="1"/>
    <xf numFmtId="164" fontId="4" fillId="0" borderId="0" xfId="1" applyNumberFormat="1" applyFont="1" applyProtection="1"/>
    <xf numFmtId="43" fontId="10" fillId="0" borderId="0" xfId="0" applyNumberFormat="1" applyFont="1"/>
    <xf numFmtId="0" fontId="2" fillId="2" borderId="1" xfId="3" applyAlignment="1" applyProtection="1">
      <alignment horizontal="center"/>
      <protection locked="0"/>
    </xf>
    <xf numFmtId="165" fontId="0" fillId="0" borderId="2" xfId="2" applyNumberFormat="1" applyFont="1" applyBorder="1" applyAlignment="1">
      <alignment horizontal="center"/>
    </xf>
    <xf numFmtId="168" fontId="0" fillId="0" borderId="0" xfId="0" applyNumberFormat="1"/>
    <xf numFmtId="170" fontId="4" fillId="0" borderId="0" xfId="0" applyNumberFormat="1" applyFont="1"/>
    <xf numFmtId="0" fontId="11" fillId="0" borderId="0" xfId="0" applyFont="1"/>
    <xf numFmtId="169" fontId="5" fillId="0" borderId="0" xfId="0" applyNumberFormat="1" applyFont="1"/>
    <xf numFmtId="0" fontId="5" fillId="0" borderId="0" xfId="0" applyFont="1"/>
    <xf numFmtId="168" fontId="5" fillId="0" borderId="0" xfId="0" applyNumberFormat="1" applyFont="1"/>
    <xf numFmtId="43" fontId="5" fillId="0" borderId="0" xfId="0" applyNumberFormat="1" applyFont="1"/>
    <xf numFmtId="165" fontId="5" fillId="0" borderId="0" xfId="2" applyNumberFormat="1" applyFont="1"/>
    <xf numFmtId="37" fontId="10" fillId="0" borderId="2" xfId="0" applyNumberFormat="1" applyFont="1" applyBorder="1" applyAlignment="1">
      <alignment horizontal="center" vertical="center"/>
    </xf>
    <xf numFmtId="10" fontId="5" fillId="0" borderId="0" xfId="2" applyNumberFormat="1" applyFont="1"/>
    <xf numFmtId="0" fontId="3" fillId="0" borderId="0" xfId="0" applyFont="1"/>
    <xf numFmtId="0" fontId="6" fillId="0" borderId="0" xfId="4"/>
    <xf numFmtId="171" fontId="10" fillId="0" borderId="2" xfId="0" applyNumberFormat="1" applyFont="1" applyBorder="1" applyAlignment="1">
      <alignment horizontal="center" vertical="center"/>
    </xf>
    <xf numFmtId="172" fontId="0" fillId="0" borderId="2" xfId="2" applyNumberFormat="1" applyFont="1" applyBorder="1" applyAlignment="1">
      <alignment horizontal="center"/>
    </xf>
    <xf numFmtId="9" fontId="0" fillId="0" borderId="2" xfId="2" applyFont="1" applyBorder="1" applyAlignment="1">
      <alignment horizontal="center"/>
    </xf>
    <xf numFmtId="9" fontId="10" fillId="0" borderId="0" xfId="2" applyFont="1"/>
    <xf numFmtId="9" fontId="0" fillId="3" borderId="2" xfId="2" applyFont="1" applyFill="1" applyBorder="1" applyAlignment="1" applyProtection="1">
      <alignment horizontal="center"/>
      <protection locked="0"/>
    </xf>
    <xf numFmtId="165" fontId="2" fillId="2" borderId="1" xfId="3" applyNumberFormat="1" applyProtection="1">
      <protection locked="0"/>
    </xf>
    <xf numFmtId="164" fontId="2" fillId="2" borderId="1" xfId="3" applyNumberFormat="1" applyProtection="1">
      <protection locked="0"/>
    </xf>
    <xf numFmtId="0" fontId="0" fillId="4" borderId="0" xfId="0" applyFill="1"/>
    <xf numFmtId="167" fontId="4" fillId="0" borderId="0" xfId="0" applyNumberFormat="1" applyFont="1" applyAlignment="1">
      <alignment horizontal="center"/>
    </xf>
  </cellXfs>
  <cellStyles count="5">
    <cellStyle name="Comma" xfId="1" builtinId="3"/>
    <cellStyle name="Hyperlink" xfId="4" builtinId="8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olarequipment.energy.ca.gov/Home/InverterSolarList" TargetMode="External"/><Relationship Id="rId2" Type="http://schemas.openxmlformats.org/officeDocument/2006/relationships/hyperlink" Target="https://solarequipment.energy.ca.gov/Home/PVModuleList" TargetMode="External"/><Relationship Id="rId1" Type="http://schemas.openxmlformats.org/officeDocument/2006/relationships/hyperlink" Target="https://property.spatialest.com/co/elpaso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9BE6-9B8C-42D7-A9B4-9D161715A313}">
  <sheetPr codeName="Sheet2"/>
  <dimension ref="B1:I23"/>
  <sheetViews>
    <sheetView workbookViewId="0">
      <selection activeCell="B28" sqref="B28"/>
    </sheetView>
  </sheetViews>
  <sheetFormatPr defaultRowHeight="15" x14ac:dyDescent="0.25"/>
  <cols>
    <col min="1" max="1" width="9.140625" style="20"/>
    <col min="2" max="2" width="13.28515625" style="20" customWidth="1"/>
    <col min="3" max="16384" width="9.140625" style="20"/>
  </cols>
  <sheetData>
    <row r="1" spans="2:9" x14ac:dyDescent="0.25">
      <c r="B1" s="30">
        <f>8551/4362</f>
        <v>1.9603392939018798</v>
      </c>
      <c r="C1" s="30">
        <f>1/1.96</f>
        <v>0.51020408163265307</v>
      </c>
      <c r="D1" s="30" t="s">
        <v>59</v>
      </c>
      <c r="E1" s="30"/>
      <c r="F1" s="30"/>
      <c r="G1" s="30"/>
      <c r="H1" s="30"/>
      <c r="I1" s="30"/>
    </row>
    <row r="2" spans="2:9" x14ac:dyDescent="0.25">
      <c r="B2" s="32"/>
      <c r="C2" s="30"/>
      <c r="D2" s="30"/>
      <c r="E2" s="30"/>
      <c r="F2" s="30"/>
      <c r="G2" s="30"/>
      <c r="H2" s="30"/>
      <c r="I2" s="30"/>
    </row>
    <row r="3" spans="2:9" x14ac:dyDescent="0.25">
      <c r="B3" s="30"/>
      <c r="C3" s="30"/>
      <c r="D3" s="30"/>
      <c r="E3" s="30"/>
      <c r="F3" s="30"/>
      <c r="G3" s="30"/>
      <c r="H3" s="30"/>
      <c r="I3" s="30"/>
    </row>
    <row r="4" spans="2:9" x14ac:dyDescent="0.25">
      <c r="B4" s="30"/>
      <c r="C4" s="30"/>
      <c r="D4" s="30"/>
      <c r="E4" s="30"/>
      <c r="F4" s="30"/>
      <c r="G4" s="30"/>
      <c r="H4" s="30"/>
      <c r="I4" s="30"/>
    </row>
    <row r="5" spans="2:9" x14ac:dyDescent="0.25">
      <c r="B5" s="30"/>
      <c r="C5" s="30"/>
      <c r="D5" s="30" t="s">
        <v>60</v>
      </c>
      <c r="E5" s="30"/>
      <c r="F5" s="30"/>
      <c r="G5" s="30"/>
      <c r="H5" s="30"/>
      <c r="I5" s="30"/>
    </row>
    <row r="6" spans="2:9" x14ac:dyDescent="0.25">
      <c r="B6" s="30" t="s">
        <v>61</v>
      </c>
      <c r="C6" s="30" t="s">
        <v>62</v>
      </c>
      <c r="D6" s="30">
        <v>0</v>
      </c>
      <c r="E6" s="30">
        <v>18</v>
      </c>
      <c r="F6" s="30">
        <v>30</v>
      </c>
      <c r="G6" s="30">
        <v>45</v>
      </c>
      <c r="H6" s="30">
        <v>60</v>
      </c>
      <c r="I6" s="30">
        <v>90</v>
      </c>
    </row>
    <row r="7" spans="2:9" x14ac:dyDescent="0.25">
      <c r="B7" s="30" t="s">
        <v>71</v>
      </c>
      <c r="C7" s="30">
        <v>0</v>
      </c>
      <c r="D7" s="30">
        <v>0.83</v>
      </c>
      <c r="E7" s="30">
        <v>0.65</v>
      </c>
      <c r="F7" s="30">
        <v>0.53</v>
      </c>
      <c r="G7" s="30">
        <v>0.4</v>
      </c>
      <c r="H7" s="30">
        <v>0.3</v>
      </c>
      <c r="I7" s="30">
        <v>0.22</v>
      </c>
    </row>
    <row r="8" spans="2:9" x14ac:dyDescent="0.25">
      <c r="B8" s="30" t="s">
        <v>72</v>
      </c>
      <c r="C8" s="30">
        <v>22.5</v>
      </c>
      <c r="D8" s="30">
        <v>0.83</v>
      </c>
      <c r="E8" s="30">
        <v>0.67</v>
      </c>
      <c r="F8" s="30">
        <v>0.56000000000000005</v>
      </c>
      <c r="G8" s="30">
        <v>0.44</v>
      </c>
      <c r="H8" s="30">
        <v>0.35</v>
      </c>
      <c r="I8" s="30">
        <v>0.26</v>
      </c>
    </row>
    <row r="9" spans="2:9" x14ac:dyDescent="0.25">
      <c r="B9" s="30" t="s">
        <v>73</v>
      </c>
      <c r="C9" s="30">
        <v>45</v>
      </c>
      <c r="D9" s="30">
        <v>0.83</v>
      </c>
      <c r="E9" s="30">
        <v>0.72</v>
      </c>
      <c r="F9" s="30">
        <v>0.68</v>
      </c>
      <c r="G9" s="30">
        <v>0.47</v>
      </c>
      <c r="H9" s="30">
        <v>0.38</v>
      </c>
      <c r="I9" s="30">
        <v>0.28999999999999998</v>
      </c>
    </row>
    <row r="10" spans="2:9" x14ac:dyDescent="0.25">
      <c r="B10" s="30" t="s">
        <v>74</v>
      </c>
      <c r="C10" s="30">
        <v>67.5</v>
      </c>
      <c r="D10" s="30">
        <v>0.83</v>
      </c>
      <c r="E10" s="30">
        <v>0.77</v>
      </c>
      <c r="F10" s="30">
        <v>0.72</v>
      </c>
      <c r="G10" s="30">
        <v>0.66</v>
      </c>
      <c r="H10" s="30">
        <v>0.59</v>
      </c>
      <c r="I10" s="30">
        <v>0.45</v>
      </c>
    </row>
    <row r="11" spans="2:9" x14ac:dyDescent="0.25">
      <c r="B11" s="30" t="s">
        <v>75</v>
      </c>
      <c r="C11" s="30">
        <v>90</v>
      </c>
      <c r="D11" s="30">
        <v>0.83</v>
      </c>
      <c r="E11" s="30">
        <v>0.83</v>
      </c>
      <c r="F11" s="30">
        <v>0.81</v>
      </c>
      <c r="G11" s="30">
        <v>0.77</v>
      </c>
      <c r="H11" s="30">
        <v>0.71</v>
      </c>
      <c r="I11" s="30">
        <v>0.55000000000000004</v>
      </c>
    </row>
    <row r="12" spans="2:9" x14ac:dyDescent="0.25">
      <c r="B12" s="30" t="s">
        <v>76</v>
      </c>
      <c r="C12" s="30">
        <v>112.5</v>
      </c>
      <c r="D12" s="30">
        <v>0.83</v>
      </c>
      <c r="E12" s="30">
        <v>0.89</v>
      </c>
      <c r="F12" s="30">
        <v>0.89</v>
      </c>
      <c r="G12" s="30">
        <v>0.87</v>
      </c>
      <c r="H12" s="30">
        <v>0.82</v>
      </c>
      <c r="I12" s="30">
        <v>0.63</v>
      </c>
    </row>
    <row r="13" spans="2:9" x14ac:dyDescent="0.25">
      <c r="B13" s="30" t="s">
        <v>77</v>
      </c>
      <c r="C13" s="30">
        <v>135</v>
      </c>
      <c r="D13" s="30">
        <v>0.83</v>
      </c>
      <c r="E13" s="30">
        <v>0.93</v>
      </c>
      <c r="F13" s="30">
        <v>0.96</v>
      </c>
      <c r="G13" s="30">
        <v>0.95</v>
      </c>
      <c r="H13" s="30">
        <v>0.89</v>
      </c>
      <c r="I13" s="30">
        <v>0.68</v>
      </c>
    </row>
    <row r="14" spans="2:9" x14ac:dyDescent="0.25">
      <c r="B14" s="30" t="s">
        <v>78</v>
      </c>
      <c r="C14" s="30">
        <v>157.5</v>
      </c>
      <c r="D14" s="30">
        <v>0.83</v>
      </c>
      <c r="E14" s="30">
        <v>0.95</v>
      </c>
      <c r="F14" s="30">
        <v>0.99</v>
      </c>
      <c r="G14" s="30">
        <v>0.99</v>
      </c>
      <c r="H14" s="30">
        <v>0.94</v>
      </c>
      <c r="I14" s="30">
        <v>0.7</v>
      </c>
    </row>
    <row r="15" spans="2:9" x14ac:dyDescent="0.25">
      <c r="B15" s="30" t="s">
        <v>79</v>
      </c>
      <c r="C15" s="30">
        <v>180</v>
      </c>
      <c r="D15" s="30">
        <v>0.83</v>
      </c>
      <c r="E15" s="30">
        <v>0.96</v>
      </c>
      <c r="F15" s="30">
        <v>1</v>
      </c>
      <c r="G15" s="30">
        <v>1</v>
      </c>
      <c r="H15" s="30">
        <v>0.95</v>
      </c>
      <c r="I15" s="30">
        <v>0.7</v>
      </c>
    </row>
    <row r="16" spans="2:9" x14ac:dyDescent="0.25">
      <c r="B16" s="30" t="s">
        <v>80</v>
      </c>
      <c r="C16" s="30">
        <v>202.5</v>
      </c>
      <c r="D16" s="30">
        <v>0.83</v>
      </c>
      <c r="E16" s="30">
        <v>0.95</v>
      </c>
      <c r="F16" s="30">
        <v>0.99</v>
      </c>
      <c r="G16" s="30">
        <v>0.99</v>
      </c>
      <c r="H16" s="30">
        <v>0.94</v>
      </c>
      <c r="I16" s="30">
        <v>0.7</v>
      </c>
    </row>
    <row r="17" spans="2:9" x14ac:dyDescent="0.25">
      <c r="B17" s="30" t="s">
        <v>81</v>
      </c>
      <c r="C17" s="30">
        <v>225</v>
      </c>
      <c r="D17" s="30">
        <v>0.83</v>
      </c>
      <c r="E17" s="30">
        <v>0.91</v>
      </c>
      <c r="F17" s="30">
        <v>0.93</v>
      </c>
      <c r="G17" s="30">
        <v>0.91</v>
      </c>
      <c r="H17" s="30">
        <v>0.86</v>
      </c>
      <c r="I17" s="30">
        <v>0.65</v>
      </c>
    </row>
    <row r="18" spans="2:9" x14ac:dyDescent="0.25">
      <c r="B18" s="30" t="s">
        <v>82</v>
      </c>
      <c r="C18" s="30">
        <v>247.5</v>
      </c>
      <c r="D18" s="30">
        <v>0.83</v>
      </c>
      <c r="E18" s="30">
        <v>0.86</v>
      </c>
      <c r="F18" s="30">
        <v>0.86</v>
      </c>
      <c r="G18" s="30">
        <v>0.83</v>
      </c>
      <c r="H18" s="30">
        <v>0.77</v>
      </c>
      <c r="I18" s="30">
        <v>0.59</v>
      </c>
    </row>
    <row r="19" spans="2:9" x14ac:dyDescent="0.25">
      <c r="B19" s="30" t="s">
        <v>83</v>
      </c>
      <c r="C19" s="30">
        <v>270</v>
      </c>
      <c r="D19" s="30">
        <v>0.83</v>
      </c>
      <c r="E19" s="30">
        <v>0.81</v>
      </c>
      <c r="F19" s="30">
        <v>0.77</v>
      </c>
      <c r="G19" s="30">
        <v>0.72</v>
      </c>
      <c r="H19" s="30">
        <v>0.66</v>
      </c>
      <c r="I19" s="30">
        <v>0.51</v>
      </c>
    </row>
    <row r="20" spans="2:9" x14ac:dyDescent="0.25">
      <c r="B20" s="30" t="s">
        <v>84</v>
      </c>
      <c r="C20" s="30">
        <v>292.5</v>
      </c>
      <c r="D20" s="30">
        <v>0.83</v>
      </c>
      <c r="E20" s="30">
        <v>0.75</v>
      </c>
      <c r="F20" s="30">
        <v>0.68</v>
      </c>
      <c r="G20" s="30">
        <v>0.6</v>
      </c>
      <c r="H20" s="30">
        <v>0.53</v>
      </c>
      <c r="I20" s="30">
        <v>0.41</v>
      </c>
    </row>
    <row r="21" spans="2:9" x14ac:dyDescent="0.25">
      <c r="B21" s="30" t="s">
        <v>85</v>
      </c>
      <c r="C21" s="30">
        <v>315</v>
      </c>
      <c r="D21" s="30">
        <v>0.83</v>
      </c>
      <c r="E21" s="30">
        <v>0.69</v>
      </c>
      <c r="F21" s="30">
        <v>0.59</v>
      </c>
      <c r="G21" s="30">
        <v>0.49</v>
      </c>
      <c r="H21" s="30">
        <v>0.41</v>
      </c>
      <c r="I21" s="30">
        <v>0.31</v>
      </c>
    </row>
    <row r="22" spans="2:9" x14ac:dyDescent="0.25">
      <c r="B22" s="30" t="s">
        <v>86</v>
      </c>
      <c r="C22" s="30">
        <v>337.5</v>
      </c>
      <c r="D22" s="30">
        <v>0.83</v>
      </c>
      <c r="E22" s="30">
        <v>0.66</v>
      </c>
      <c r="F22" s="30">
        <v>0.54</v>
      </c>
      <c r="G22" s="30">
        <v>0.41</v>
      </c>
      <c r="H22" s="30">
        <v>0.32</v>
      </c>
      <c r="I22" s="30">
        <v>0.25</v>
      </c>
    </row>
    <row r="23" spans="2:9" x14ac:dyDescent="0.25">
      <c r="B23" s="30"/>
      <c r="C23" s="30"/>
      <c r="D23" s="30"/>
      <c r="E23" s="30"/>
      <c r="F23" s="30"/>
      <c r="G23" s="30"/>
      <c r="H23" s="30"/>
      <c r="I23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748B-16C6-44B2-A894-5A4B5579504F}">
  <dimension ref="A1:X95"/>
  <sheetViews>
    <sheetView tabSelected="1" topLeftCell="A51" workbookViewId="0">
      <selection activeCell="B9" sqref="B9"/>
    </sheetView>
  </sheetViews>
  <sheetFormatPr defaultRowHeight="15" x14ac:dyDescent="0.25"/>
  <cols>
    <col min="1" max="1" width="37.28515625" customWidth="1"/>
    <col min="2" max="2" width="17.42578125" bestFit="1" customWidth="1"/>
    <col min="3" max="4" width="14.5703125" customWidth="1"/>
    <col min="5" max="5" width="16.7109375" customWidth="1"/>
    <col min="6" max="6" width="14.5703125" customWidth="1"/>
    <col min="12" max="12" width="16.42578125" bestFit="1" customWidth="1"/>
  </cols>
  <sheetData>
    <row r="1" spans="1:9" x14ac:dyDescent="0.25">
      <c r="A1" s="1" t="s">
        <v>0</v>
      </c>
    </row>
    <row r="2" spans="1:9" x14ac:dyDescent="0.25">
      <c r="A2" t="s">
        <v>1</v>
      </c>
      <c r="C2" s="5"/>
      <c r="D2" s="45" t="s">
        <v>99</v>
      </c>
      <c r="I2" t="s">
        <v>98</v>
      </c>
    </row>
    <row r="4" spans="1:9" x14ac:dyDescent="0.25">
      <c r="A4" s="1" t="s">
        <v>101</v>
      </c>
    </row>
    <row r="5" spans="1:9" x14ac:dyDescent="0.25">
      <c r="A5" s="18" t="s">
        <v>2</v>
      </c>
    </row>
    <row r="6" spans="1:9" ht="45" x14ac:dyDescent="0.25">
      <c r="B6" s="2" t="s">
        <v>3</v>
      </c>
      <c r="C6" s="2" t="s">
        <v>4</v>
      </c>
      <c r="D6" s="3" t="s">
        <v>5</v>
      </c>
    </row>
    <row r="7" spans="1:9" x14ac:dyDescent="0.25">
      <c r="A7" s="4" t="s">
        <v>6</v>
      </c>
      <c r="B7" s="5"/>
      <c r="C7" s="6" t="str">
        <f t="shared" ref="C7:C18" si="0">IF(ABS(B7)&gt;0,"",IF(COUNT($B$7:$B$18)&gt;=4,SUM($B$7:$B$18)/SUMIFS($D$7:$D$18,$B$7:$B$18,"&gt;0")*D7,""))</f>
        <v/>
      </c>
      <c r="D7" s="7">
        <v>9.217904773423613E-2</v>
      </c>
      <c r="E7" s="8"/>
      <c r="F7" s="9"/>
    </row>
    <row r="8" spans="1:9" x14ac:dyDescent="0.25">
      <c r="A8" s="4" t="s">
        <v>7</v>
      </c>
      <c r="B8" s="5"/>
      <c r="C8" s="6" t="str">
        <f t="shared" si="0"/>
        <v/>
      </c>
      <c r="D8" s="7">
        <v>8.0832572544763157E-2</v>
      </c>
      <c r="E8" s="8"/>
      <c r="F8" s="9"/>
    </row>
    <row r="9" spans="1:9" x14ac:dyDescent="0.25">
      <c r="A9" s="4" t="s">
        <v>8</v>
      </c>
      <c r="B9" s="5"/>
      <c r="C9" s="6" t="str">
        <f t="shared" si="0"/>
        <v/>
      </c>
      <c r="D9" s="7">
        <v>8.0876329043800599E-2</v>
      </c>
      <c r="E9" s="8"/>
      <c r="F9" s="9"/>
    </row>
    <row r="10" spans="1:9" x14ac:dyDescent="0.25">
      <c r="A10" s="4" t="s">
        <v>9</v>
      </c>
      <c r="B10" s="5"/>
      <c r="C10" s="6" t="str">
        <f t="shared" si="0"/>
        <v/>
      </c>
      <c r="D10" s="7">
        <v>7.5023383172603722E-2</v>
      </c>
      <c r="E10" s="8"/>
      <c r="F10" s="9"/>
    </row>
    <row r="11" spans="1:9" x14ac:dyDescent="0.25">
      <c r="A11" s="4" t="s">
        <v>10</v>
      </c>
      <c r="B11" s="5"/>
      <c r="C11" s="6" t="str">
        <f t="shared" si="0"/>
        <v/>
      </c>
      <c r="D11" s="7">
        <v>7.2904210446858617E-2</v>
      </c>
      <c r="E11" s="8"/>
      <c r="F11" s="9"/>
    </row>
    <row r="12" spans="1:9" x14ac:dyDescent="0.25">
      <c r="A12" s="4" t="s">
        <v>11</v>
      </c>
      <c r="B12" s="5"/>
      <c r="C12" s="6" t="str">
        <f t="shared" si="0"/>
        <v/>
      </c>
      <c r="D12" s="7">
        <v>8.77832429755106E-2</v>
      </c>
      <c r="E12" s="8"/>
      <c r="F12" s="9"/>
    </row>
    <row r="13" spans="1:9" x14ac:dyDescent="0.25">
      <c r="A13" s="4" t="s">
        <v>12</v>
      </c>
      <c r="B13" s="5"/>
      <c r="C13" s="6" t="str">
        <f t="shared" si="0"/>
        <v/>
      </c>
      <c r="D13" s="7">
        <v>9.4320394923587278E-2</v>
      </c>
      <c r="E13" s="8"/>
      <c r="F13" s="9"/>
    </row>
    <row r="14" spans="1:9" x14ac:dyDescent="0.25">
      <c r="A14" s="4" t="s">
        <v>13</v>
      </c>
      <c r="B14" s="5"/>
      <c r="C14" s="6" t="str">
        <f t="shared" si="0"/>
        <v/>
      </c>
      <c r="D14" s="7">
        <v>9.3019063144399686E-2</v>
      </c>
      <c r="E14" s="8"/>
      <c r="F14" s="9"/>
    </row>
    <row r="15" spans="1:9" x14ac:dyDescent="0.25">
      <c r="A15" s="4" t="s">
        <v>14</v>
      </c>
      <c r="B15" s="5"/>
      <c r="C15" s="6" t="str">
        <f t="shared" si="0"/>
        <v/>
      </c>
      <c r="D15" s="7">
        <v>7.978750320391341E-2</v>
      </c>
      <c r="E15" s="8"/>
      <c r="F15" s="9"/>
    </row>
    <row r="16" spans="1:9" x14ac:dyDescent="0.25">
      <c r="A16" s="4" t="s">
        <v>15</v>
      </c>
      <c r="B16" s="5"/>
      <c r="C16" s="6" t="str">
        <f t="shared" si="0"/>
        <v/>
      </c>
      <c r="D16" s="7">
        <v>7.4781085112667914E-2</v>
      </c>
      <c r="E16" s="8"/>
      <c r="F16" s="9"/>
    </row>
    <row r="17" spans="1:6" x14ac:dyDescent="0.25">
      <c r="A17" s="4" t="s">
        <v>16</v>
      </c>
      <c r="B17" s="5"/>
      <c r="C17" s="6" t="str">
        <f t="shared" si="0"/>
        <v/>
      </c>
      <c r="D17" s="7">
        <v>7.7168211872094689E-2</v>
      </c>
      <c r="E17" s="8"/>
      <c r="F17" s="9"/>
    </row>
    <row r="18" spans="1:6" x14ac:dyDescent="0.25">
      <c r="A18" s="4" t="s">
        <v>17</v>
      </c>
      <c r="B18" s="5"/>
      <c r="C18" s="6" t="str">
        <f t="shared" si="0"/>
        <v/>
      </c>
      <c r="D18" s="7">
        <v>9.1324955825564227E-2</v>
      </c>
      <c r="E18" s="8"/>
      <c r="F18" s="9"/>
    </row>
    <row r="19" spans="1:6" x14ac:dyDescent="0.25">
      <c r="A19" s="10" t="s">
        <v>18</v>
      </c>
      <c r="B19" s="46" t="e">
        <f>IF(COUNT(B7:B18)&gt;3,SUM(B7:C18),NA())</f>
        <v>#N/A</v>
      </c>
      <c r="C19" s="46"/>
      <c r="D19" s="11">
        <f>SUM(D7:D18)</f>
        <v>0.99999999999999989</v>
      </c>
    </row>
    <row r="21" spans="1:6" x14ac:dyDescent="0.25">
      <c r="A21" s="1" t="s">
        <v>19</v>
      </c>
    </row>
    <row r="22" spans="1:6" x14ac:dyDescent="0.25">
      <c r="A22" t="s">
        <v>20</v>
      </c>
      <c r="B22" s="5"/>
      <c r="C22" s="18" t="s">
        <v>21</v>
      </c>
      <c r="F22" s="12" t="s">
        <v>22</v>
      </c>
    </row>
    <row r="23" spans="1:6" x14ac:dyDescent="0.25">
      <c r="A23" t="s">
        <v>23</v>
      </c>
      <c r="B23" s="5"/>
      <c r="C23" s="18" t="s">
        <v>24</v>
      </c>
    </row>
    <row r="24" spans="1:6" s="13" customFormat="1" hidden="1" x14ac:dyDescent="0.25">
      <c r="A24" s="13" t="s">
        <v>25</v>
      </c>
      <c r="B24" s="13">
        <f>MAX(1900,MIN(2035,B22))</f>
        <v>2035</v>
      </c>
    </row>
    <row r="25" spans="1:6" s="13" customFormat="1" hidden="1" x14ac:dyDescent="0.25">
      <c r="A25" s="13" t="s">
        <v>26</v>
      </c>
      <c r="B25" s="13">
        <f>MIN(7000,MAX(500,B23))</f>
        <v>500</v>
      </c>
    </row>
    <row r="26" spans="1:6" s="13" customFormat="1" hidden="1" x14ac:dyDescent="0.25">
      <c r="A26" s="13" t="s">
        <v>27</v>
      </c>
      <c r="B26" s="13">
        <f>12*(1.21593579312904*B24+0.152651343093599*B25-2048.68609283698)</f>
        <v>6024.8270127289888</v>
      </c>
    </row>
    <row r="27" spans="1:6" s="13" customFormat="1" hidden="1" x14ac:dyDescent="0.25">
      <c r="A27" s="13" t="s">
        <v>28</v>
      </c>
      <c r="B27" s="13">
        <f>12*(-2.04200168914482*B24+0.168025002876473*B25+4353.40461916746)</f>
        <v>3383.3241983518601</v>
      </c>
    </row>
    <row r="28" spans="1:6" x14ac:dyDescent="0.25">
      <c r="A28" t="s">
        <v>29</v>
      </c>
      <c r="B28" s="46" t="e">
        <f>IF(AND(COUNT(B22:B23)=2,ISERROR(B19)),IF(B22&lt;1985,B26,B27),NA())</f>
        <v>#N/A</v>
      </c>
      <c r="C28" s="46"/>
    </row>
    <row r="29" spans="1:6" x14ac:dyDescent="0.25">
      <c r="B29" s="14"/>
      <c r="C29" s="14"/>
    </row>
    <row r="30" spans="1:6" x14ac:dyDescent="0.25">
      <c r="A30" s="15" t="s">
        <v>67</v>
      </c>
      <c r="B30" s="14"/>
      <c r="C30" s="14"/>
    </row>
    <row r="31" spans="1:6" x14ac:dyDescent="0.25">
      <c r="A31" s="16" t="s">
        <v>30</v>
      </c>
      <c r="B31" s="17"/>
      <c r="C31" s="18" t="s">
        <v>31</v>
      </c>
    </row>
    <row r="32" spans="1:6" x14ac:dyDescent="0.25">
      <c r="A32" s="18" t="s">
        <v>32</v>
      </c>
      <c r="B32" s="19">
        <f ca="1">IF(B31&gt;0,12-MOD(MONTH(TODAY())-MONTH(B31),12),0)</f>
        <v>0</v>
      </c>
      <c r="C32" s="18" t="s">
        <v>33</v>
      </c>
      <c r="D32" s="18"/>
    </row>
    <row r="33" spans="1:23" x14ac:dyDescent="0.25">
      <c r="A33" t="s">
        <v>34</v>
      </c>
      <c r="B33" s="14">
        <f>IF(ISERROR(B19),IF(B31&gt;0,3773,0),3773/12*IF(B32=12,0,B32))</f>
        <v>0</v>
      </c>
      <c r="C33" s="14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x14ac:dyDescent="0.25"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x14ac:dyDescent="0.25">
      <c r="A35" s="1" t="s">
        <v>35</v>
      </c>
      <c r="F35" s="20"/>
      <c r="G35" s="20"/>
      <c r="H35" s="20"/>
      <c r="I35" s="20"/>
      <c r="J35" s="20"/>
      <c r="W35" s="20"/>
    </row>
    <row r="36" spans="1:23" x14ac:dyDescent="0.25">
      <c r="A36" t="s">
        <v>36</v>
      </c>
      <c r="B36" s="21" t="e">
        <f>MIN(IFERROR(B19,B28)+B33,15*8760*0.224)*120%</f>
        <v>#N/A</v>
      </c>
      <c r="C36" t="s">
        <v>37</v>
      </c>
      <c r="F36" s="20"/>
      <c r="G36" s="20"/>
      <c r="H36" s="20"/>
      <c r="I36" s="20"/>
      <c r="J36" s="20"/>
      <c r="W36" s="20"/>
    </row>
    <row r="37" spans="1:23" x14ac:dyDescent="0.25">
      <c r="A37" s="1" t="s">
        <v>38</v>
      </c>
      <c r="B37" s="22" t="e">
        <f>MIN(15,B36/8760/0.224)</f>
        <v>#N/A</v>
      </c>
      <c r="C37" s="1" t="s">
        <v>39</v>
      </c>
      <c r="D37" t="s">
        <v>63</v>
      </c>
      <c r="F37" s="23"/>
      <c r="G37" s="20"/>
      <c r="H37" s="20"/>
      <c r="I37" s="20"/>
      <c r="J37" s="20"/>
      <c r="W37" s="20"/>
    </row>
    <row r="38" spans="1:23" x14ac:dyDescent="0.25">
      <c r="A38" s="1"/>
      <c r="B38" s="22"/>
      <c r="C38" s="1"/>
      <c r="F38" s="23"/>
      <c r="G38" s="20"/>
      <c r="H38" s="20"/>
      <c r="I38" s="20"/>
      <c r="J38" s="20"/>
      <c r="W38" s="20"/>
    </row>
    <row r="39" spans="1:23" x14ac:dyDescent="0.25">
      <c r="A39" s="1" t="s">
        <v>89</v>
      </c>
      <c r="B39" s="22"/>
      <c r="C39" s="1"/>
      <c r="F39" s="23"/>
      <c r="G39" s="20"/>
      <c r="H39" s="20"/>
      <c r="I39" s="20"/>
      <c r="J39" s="20"/>
      <c r="W39" s="20"/>
    </row>
    <row r="40" spans="1:23" x14ac:dyDescent="0.25">
      <c r="A40" s="1"/>
      <c r="B40" s="22"/>
      <c r="C40" s="1"/>
      <c r="F40" s="23"/>
      <c r="G40" s="20"/>
      <c r="H40" s="20"/>
      <c r="I40" s="20"/>
      <c r="J40" s="20"/>
      <c r="W40" s="20"/>
    </row>
    <row r="41" spans="1:23" x14ac:dyDescent="0.25">
      <c r="A41" s="1" t="s">
        <v>88</v>
      </c>
      <c r="F41" s="23"/>
      <c r="G41" s="20"/>
      <c r="H41" s="20"/>
      <c r="I41" s="20"/>
      <c r="J41" s="20"/>
      <c r="W41" s="20"/>
    </row>
    <row r="42" spans="1:23" x14ac:dyDescent="0.25">
      <c r="A42" t="s">
        <v>92</v>
      </c>
      <c r="J42" s="20"/>
      <c r="W42" s="20"/>
    </row>
    <row r="43" spans="1:23" x14ac:dyDescent="0.25">
      <c r="A43" t="s">
        <v>91</v>
      </c>
      <c r="B43" s="44"/>
      <c r="C43" s="18" t="s">
        <v>93</v>
      </c>
      <c r="E43" s="23"/>
      <c r="F43" s="37" t="s">
        <v>94</v>
      </c>
      <c r="J43" s="20"/>
      <c r="W43" s="20"/>
    </row>
    <row r="44" spans="1:23" x14ac:dyDescent="0.25">
      <c r="A44" t="s">
        <v>100</v>
      </c>
      <c r="B44" s="44"/>
      <c r="C44" s="18" t="s">
        <v>97</v>
      </c>
      <c r="E44" s="23"/>
      <c r="F44" s="20"/>
      <c r="G44" s="20"/>
      <c r="H44" s="20"/>
      <c r="I44" s="20"/>
      <c r="J44" s="20"/>
      <c r="W44" s="20"/>
    </row>
    <row r="45" spans="1:23" x14ac:dyDescent="0.25">
      <c r="B45" s="1"/>
      <c r="C45" s="1"/>
      <c r="D45" s="18"/>
      <c r="F45" s="23"/>
      <c r="G45" s="20"/>
      <c r="H45" s="20"/>
      <c r="I45" s="20"/>
      <c r="J45" s="20"/>
      <c r="W45" s="20"/>
    </row>
    <row r="46" spans="1:23" x14ac:dyDescent="0.25">
      <c r="A46" t="s">
        <v>90</v>
      </c>
      <c r="J46" s="20"/>
      <c r="W46" s="20"/>
    </row>
    <row r="47" spans="1:23" x14ac:dyDescent="0.25">
      <c r="A47" t="s">
        <v>53</v>
      </c>
      <c r="B47" s="43">
        <v>0.99</v>
      </c>
      <c r="C47" s="18" t="s">
        <v>95</v>
      </c>
      <c r="E47" s="23"/>
      <c r="F47" s="37" t="s">
        <v>96</v>
      </c>
      <c r="I47" s="20"/>
      <c r="J47" s="20"/>
      <c r="W47" s="20"/>
    </row>
    <row r="48" spans="1:23" x14ac:dyDescent="0.25">
      <c r="A48" s="1"/>
      <c r="B48" s="22"/>
      <c r="C48" s="1"/>
      <c r="F48" s="23"/>
      <c r="G48" s="20"/>
      <c r="H48" s="20"/>
      <c r="I48" s="20"/>
      <c r="J48" s="20"/>
      <c r="W48" s="20"/>
    </row>
    <row r="49" spans="1:24" x14ac:dyDescent="0.25">
      <c r="A49" s="1" t="s">
        <v>64</v>
      </c>
      <c r="B49" t="s">
        <v>40</v>
      </c>
      <c r="C49" t="s">
        <v>41</v>
      </c>
      <c r="D49" t="s">
        <v>42</v>
      </c>
      <c r="E49" t="s">
        <v>43</v>
      </c>
      <c r="F49" s="20" t="s">
        <v>44</v>
      </c>
      <c r="G49" s="20"/>
      <c r="H49" s="20"/>
      <c r="I49" s="20"/>
      <c r="J49" s="20"/>
      <c r="N49" s="30" t="s">
        <v>65</v>
      </c>
      <c r="O49" s="30"/>
      <c r="P49" s="30"/>
      <c r="Q49" s="30"/>
      <c r="R49" s="30"/>
      <c r="S49" s="30"/>
      <c r="T49" s="30"/>
      <c r="U49" s="30"/>
      <c r="W49" s="20"/>
    </row>
    <row r="51" spans="1:24" x14ac:dyDescent="0.25">
      <c r="A51" t="s">
        <v>45</v>
      </c>
      <c r="B51" s="24"/>
      <c r="C51" s="24"/>
      <c r="D51" s="24"/>
      <c r="E51" s="24"/>
      <c r="F51" s="24"/>
      <c r="G51" s="18" t="s">
        <v>46</v>
      </c>
      <c r="I51" s="20"/>
      <c r="J51" s="20"/>
      <c r="N51" s="35"/>
      <c r="O51" s="30"/>
      <c r="P51" s="30"/>
      <c r="Q51" s="30"/>
      <c r="R51" s="30"/>
      <c r="S51" s="30"/>
      <c r="T51" s="30"/>
      <c r="U51" s="30"/>
      <c r="W51" s="20"/>
    </row>
    <row r="52" spans="1:24" x14ac:dyDescent="0.25">
      <c r="A52" t="s">
        <v>49</v>
      </c>
      <c r="B52" s="24" t="s">
        <v>79</v>
      </c>
      <c r="C52" s="24" t="s">
        <v>79</v>
      </c>
      <c r="D52" s="24" t="s">
        <v>79</v>
      </c>
      <c r="E52" s="24" t="s">
        <v>79</v>
      </c>
      <c r="F52" s="24" t="s">
        <v>79</v>
      </c>
      <c r="G52" s="18" t="s">
        <v>102</v>
      </c>
      <c r="I52" s="20"/>
      <c r="J52" s="20"/>
      <c r="N52" s="35"/>
      <c r="O52" s="30"/>
      <c r="P52" s="30"/>
      <c r="Q52" s="30"/>
      <c r="R52" s="30"/>
      <c r="S52" s="30"/>
      <c r="T52" s="30"/>
      <c r="U52" s="30"/>
      <c r="W52" s="20"/>
    </row>
    <row r="53" spans="1:24" x14ac:dyDescent="0.25">
      <c r="A53" t="s">
        <v>47</v>
      </c>
      <c r="B53" s="24">
        <v>18</v>
      </c>
      <c r="C53" s="24">
        <v>18</v>
      </c>
      <c r="D53" s="24">
        <v>0</v>
      </c>
      <c r="E53" s="24">
        <v>0</v>
      </c>
      <c r="F53" s="24">
        <v>0</v>
      </c>
      <c r="G53" s="18" t="s">
        <v>48</v>
      </c>
      <c r="I53" s="20"/>
      <c r="J53" s="20"/>
      <c r="N53" s="35"/>
      <c r="O53" s="30"/>
      <c r="P53" s="30"/>
      <c r="Q53" s="30"/>
      <c r="R53" s="30"/>
      <c r="S53" s="30"/>
      <c r="T53" s="30"/>
      <c r="U53" s="30"/>
      <c r="W53" s="20"/>
    </row>
    <row r="54" spans="1:24" x14ac:dyDescent="0.25">
      <c r="A54" t="s">
        <v>52</v>
      </c>
      <c r="B54" s="42">
        <v>0.85</v>
      </c>
      <c r="C54" s="42">
        <v>0.85</v>
      </c>
      <c r="D54" s="42">
        <v>0.85</v>
      </c>
      <c r="E54" s="42">
        <v>0.85</v>
      </c>
      <c r="F54" s="42">
        <v>0.85</v>
      </c>
      <c r="G54" s="18" t="s">
        <v>103</v>
      </c>
      <c r="I54" s="20"/>
      <c r="J54" s="20"/>
      <c r="N54" s="35">
        <f>1-B54</f>
        <v>0.15000000000000002</v>
      </c>
      <c r="O54" s="30" t="s">
        <v>70</v>
      </c>
      <c r="P54" s="30"/>
      <c r="Q54" s="30"/>
      <c r="R54" s="30"/>
      <c r="S54" s="30"/>
      <c r="T54" s="30"/>
      <c r="U54" s="30"/>
      <c r="W54" s="20"/>
    </row>
    <row r="55" spans="1:24" x14ac:dyDescent="0.25">
      <c r="G55" s="18" t="s">
        <v>104</v>
      </c>
    </row>
    <row r="56" spans="1:24" x14ac:dyDescent="0.25">
      <c r="G56" s="20"/>
      <c r="H56" s="18"/>
      <c r="I56" s="20"/>
      <c r="J56" s="20"/>
      <c r="N56" s="35"/>
      <c r="O56" s="30"/>
      <c r="P56" s="30"/>
      <c r="Q56" s="30"/>
      <c r="R56" s="30"/>
      <c r="S56" s="30"/>
      <c r="T56" s="30"/>
      <c r="U56" s="30"/>
      <c r="W56" s="20"/>
    </row>
    <row r="58" spans="1:24" x14ac:dyDescent="0.25">
      <c r="A58" t="s">
        <v>50</v>
      </c>
      <c r="B58" s="40">
        <f ca="1">OFFSET(Sheet2!$C$6,MATCH(B52,Sheet2!$B$7:$B$22,0),MATCH(B53,Sheet2!$D$6:$I$6,0))</f>
        <v>0.96</v>
      </c>
      <c r="C58" s="40">
        <f ca="1">OFFSET(Sheet2!$C$6,MATCH(C52,Sheet2!$B$7:$B$22,0),MATCH(C53,Sheet2!$D$6:$I$6,0))</f>
        <v>0.96</v>
      </c>
      <c r="D58" s="40">
        <f ca="1">OFFSET(Sheet2!$C$6,MATCH(D52,Sheet2!$B$7:$B$22,0),MATCH(D53,Sheet2!$D$6:$I$6,0))</f>
        <v>0.83</v>
      </c>
      <c r="E58" s="40">
        <f ca="1">OFFSET(Sheet2!$C$6,MATCH(E52,Sheet2!$B$7:$B$22,0),MATCH(E53,Sheet2!$D$6:$I$6,0))</f>
        <v>0.83</v>
      </c>
      <c r="F58" s="40">
        <f ca="1">OFFSET(Sheet2!$C$6,MATCH(F52,Sheet2!$B$7:$B$22,0),MATCH(F53,Sheet2!$D$6:$I$6,0))</f>
        <v>0.83</v>
      </c>
      <c r="G58" s="20"/>
      <c r="H58" s="18"/>
      <c r="I58" s="20"/>
      <c r="J58" s="20"/>
      <c r="N58" s="35"/>
      <c r="O58" s="30" t="s">
        <v>51</v>
      </c>
      <c r="P58" s="30"/>
      <c r="Q58" s="30"/>
      <c r="R58" s="30"/>
      <c r="S58" s="30"/>
      <c r="T58" s="30"/>
      <c r="U58" s="30"/>
      <c r="W58" s="20"/>
    </row>
    <row r="59" spans="1:24" x14ac:dyDescent="0.25">
      <c r="A59" t="s">
        <v>53</v>
      </c>
      <c r="B59" s="25">
        <f>$B$47</f>
        <v>0.99</v>
      </c>
      <c r="C59" s="25">
        <f>$B$47</f>
        <v>0.99</v>
      </c>
      <c r="D59" s="25">
        <f>$B$47</f>
        <v>0.99</v>
      </c>
      <c r="E59" s="25">
        <f>$B$47</f>
        <v>0.99</v>
      </c>
      <c r="F59" s="25">
        <f>$B$47</f>
        <v>0.99</v>
      </c>
      <c r="G59" s="20"/>
      <c r="H59" s="18"/>
      <c r="I59" s="20"/>
      <c r="J59" s="20"/>
      <c r="N59" s="35">
        <f>1-B59</f>
        <v>1.0000000000000009E-2</v>
      </c>
      <c r="O59" s="30" t="s">
        <v>69</v>
      </c>
      <c r="P59" s="30"/>
      <c r="Q59" s="30"/>
      <c r="R59" s="30"/>
      <c r="S59" s="30"/>
      <c r="T59" s="30"/>
      <c r="U59" s="30"/>
      <c r="W59" s="20"/>
    </row>
    <row r="60" spans="1:24" x14ac:dyDescent="0.25">
      <c r="A60" t="s">
        <v>87</v>
      </c>
      <c r="B60" s="39">
        <f>IF($B$43&gt;0,$B$43,($B$44))</f>
        <v>0</v>
      </c>
      <c r="C60" s="39">
        <f t="shared" ref="C60:F60" si="1">IF($B$43&gt;0,$B$43,($B$44))</f>
        <v>0</v>
      </c>
      <c r="D60" s="39">
        <f t="shared" si="1"/>
        <v>0</v>
      </c>
      <c r="E60" s="39">
        <f t="shared" si="1"/>
        <v>0</v>
      </c>
      <c r="F60" s="39">
        <f t="shared" si="1"/>
        <v>0</v>
      </c>
      <c r="G60" s="20"/>
      <c r="H60" s="18"/>
      <c r="I60" s="20"/>
      <c r="J60" s="20"/>
      <c r="N60" s="35">
        <v>0.08</v>
      </c>
      <c r="O60" s="30" t="s">
        <v>66</v>
      </c>
      <c r="P60" s="30"/>
      <c r="Q60" s="30"/>
      <c r="R60" s="30"/>
      <c r="S60" s="30"/>
      <c r="T60" s="30"/>
      <c r="U60" s="30"/>
      <c r="W60" s="20"/>
    </row>
    <row r="61" spans="1:24" x14ac:dyDescent="0.25">
      <c r="A61" t="s">
        <v>54</v>
      </c>
      <c r="B61" s="25">
        <f ca="1">(1-B58)+(1-B54)+(1-B59)</f>
        <v>0.20000000000000007</v>
      </c>
      <c r="C61" s="25">
        <f t="shared" ref="C61:F61" ca="1" si="2">(1-C58)+(1-C54)+(1-C59)</f>
        <v>0.20000000000000007</v>
      </c>
      <c r="D61" s="25">
        <f t="shared" ca="1" si="2"/>
        <v>0.33000000000000007</v>
      </c>
      <c r="E61" s="25">
        <f t="shared" ca="1" si="2"/>
        <v>0.33000000000000007</v>
      </c>
      <c r="F61" s="25">
        <f t="shared" ca="1" si="2"/>
        <v>0.33000000000000007</v>
      </c>
      <c r="G61" s="20"/>
      <c r="H61" s="20"/>
      <c r="I61" s="20"/>
      <c r="J61" s="20"/>
      <c r="N61" s="30"/>
      <c r="O61" s="30"/>
      <c r="P61" s="30"/>
      <c r="Q61" s="30"/>
      <c r="R61" s="30"/>
      <c r="S61" s="30"/>
      <c r="T61" s="30"/>
      <c r="U61" s="30"/>
      <c r="W61" s="20"/>
    </row>
    <row r="62" spans="1:24" x14ac:dyDescent="0.25">
      <c r="F62" s="20"/>
      <c r="G62" s="20"/>
      <c r="H62" s="20"/>
      <c r="I62" s="20"/>
      <c r="J62" s="20"/>
      <c r="N62" s="30"/>
      <c r="O62" s="30"/>
      <c r="P62" s="30"/>
      <c r="Q62" s="30"/>
      <c r="R62" s="30"/>
      <c r="S62" s="30"/>
      <c r="T62" s="30"/>
      <c r="U62" s="30"/>
      <c r="W62" s="20"/>
    </row>
    <row r="63" spans="1:24" x14ac:dyDescent="0.25">
      <c r="A63" t="s">
        <v>55</v>
      </c>
      <c r="B63" s="38">
        <f ca="1">((B60*B51*B58*B54*B59))/1000</f>
        <v>0</v>
      </c>
      <c r="C63" s="38">
        <f ca="1">((C60*C51*C58*C54*C59))/1000</f>
        <v>0</v>
      </c>
      <c r="D63" s="38">
        <f ca="1">((D60*D51*D58*D54*D59))/1000</f>
        <v>0</v>
      </c>
      <c r="E63" s="38">
        <f ca="1">((E60*E51*E58*E54*E59))/1000</f>
        <v>0</v>
      </c>
      <c r="F63" s="38">
        <f ca="1">((F60*F51*F58*F54*F59))/1000</f>
        <v>0</v>
      </c>
      <c r="H63" s="20"/>
      <c r="I63" s="20"/>
      <c r="J63" s="20"/>
      <c r="N63" s="29"/>
      <c r="O63" s="30"/>
      <c r="P63" s="30"/>
      <c r="Q63" s="30"/>
      <c r="R63" s="30"/>
      <c r="S63" s="30"/>
      <c r="T63" s="30"/>
      <c r="U63" s="30"/>
      <c r="W63" s="20"/>
    </row>
    <row r="64" spans="1:24" x14ac:dyDescent="0.25">
      <c r="A64" t="s">
        <v>56</v>
      </c>
      <c r="B64" s="34">
        <f ca="1">B63/Sheet2!$C$1*1000</f>
        <v>0</v>
      </c>
      <c r="C64" s="34">
        <f ca="1">C63/Sheet2!$C$1*1000</f>
        <v>0</v>
      </c>
      <c r="D64" s="34">
        <f ca="1">D63/Sheet2!$C$1*1000</f>
        <v>0</v>
      </c>
      <c r="E64" s="34">
        <f ca="1">E63/Sheet2!$C$1*1000</f>
        <v>0</v>
      </c>
      <c r="F64" s="34">
        <f ca="1">F63/Sheet2!$C$1*1000</f>
        <v>0</v>
      </c>
      <c r="H64" s="20"/>
      <c r="I64" s="20"/>
      <c r="J64" s="20"/>
      <c r="L64" s="20"/>
      <c r="M64" s="20"/>
      <c r="N64" s="32"/>
      <c r="O64" s="32"/>
      <c r="P64" s="31">
        <f ca="1">SUM(B64:F64)</f>
        <v>0</v>
      </c>
      <c r="Q64" s="30">
        <f>1/1.96</f>
        <v>0.51020408163265307</v>
      </c>
      <c r="R64" s="30"/>
      <c r="S64" s="20"/>
      <c r="T64" s="20"/>
      <c r="U64" s="20"/>
      <c r="V64" s="20"/>
      <c r="W64" s="20"/>
      <c r="X64" s="20"/>
    </row>
    <row r="65" spans="1:24" x14ac:dyDescent="0.25">
      <c r="B65" s="26"/>
      <c r="H65" s="20"/>
      <c r="I65" s="20"/>
      <c r="J65" s="20"/>
      <c r="L65" s="20"/>
      <c r="M65" s="20"/>
      <c r="N65" s="23"/>
      <c r="O65" s="23"/>
      <c r="P65" s="20"/>
      <c r="Q65" s="20"/>
      <c r="R65" s="20"/>
      <c r="S65" s="20"/>
      <c r="T65" s="20"/>
      <c r="U65" s="20"/>
      <c r="V65" s="20"/>
      <c r="W65" s="20"/>
      <c r="X65" s="20"/>
    </row>
    <row r="66" spans="1:24" x14ac:dyDescent="0.25">
      <c r="A66" s="1" t="s">
        <v>57</v>
      </c>
      <c r="B66" s="26"/>
      <c r="H66" s="20"/>
      <c r="I66" s="20"/>
      <c r="J66" s="20"/>
      <c r="L66" s="20"/>
      <c r="M66" s="20"/>
      <c r="N66" s="23"/>
      <c r="O66" s="23"/>
      <c r="P66" s="20"/>
      <c r="Q66" s="20"/>
      <c r="R66" s="20"/>
      <c r="S66" s="20"/>
      <c r="T66" s="20"/>
      <c r="U66" s="20"/>
      <c r="V66" s="20"/>
      <c r="W66" s="20"/>
      <c r="X66" s="20"/>
    </row>
    <row r="67" spans="1:24" x14ac:dyDescent="0.25">
      <c r="B67" s="41" t="e">
        <f ca="1">SUM(B64:F64)/B19</f>
        <v>#N/A</v>
      </c>
      <c r="C67" s="36" t="e">
        <f ca="1">IF(B67&gt;1.2, "System too large", " ")</f>
        <v>#N/A</v>
      </c>
      <c r="F67" s="20"/>
      <c r="G67" s="20"/>
      <c r="H67" s="20"/>
      <c r="I67" s="20"/>
      <c r="J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 x14ac:dyDescent="0.25">
      <c r="A68" t="s">
        <v>58</v>
      </c>
      <c r="B68" s="26">
        <f ca="1">SUM(B64:F64)</f>
        <v>0</v>
      </c>
      <c r="C68" t="s">
        <v>37</v>
      </c>
      <c r="F68" s="20"/>
      <c r="G68" s="20"/>
      <c r="H68" s="20"/>
      <c r="I68" s="20"/>
      <c r="J68" s="20"/>
      <c r="K68" s="41"/>
      <c r="L68" s="20"/>
      <c r="M68" s="20"/>
      <c r="W68" s="20"/>
      <c r="X68" s="20"/>
    </row>
    <row r="69" spans="1:24" x14ac:dyDescent="0.25">
      <c r="A69" s="1" t="s">
        <v>68</v>
      </c>
      <c r="B69" s="27">
        <f ca="1">SUM(B63:F63)</f>
        <v>0</v>
      </c>
      <c r="C69" s="1" t="s">
        <v>39</v>
      </c>
      <c r="F69" s="20"/>
      <c r="G69" s="20"/>
      <c r="H69" s="20"/>
      <c r="I69" s="20"/>
      <c r="J69" s="20"/>
      <c r="K69" s="30"/>
      <c r="L69" s="20"/>
      <c r="M69" s="20"/>
      <c r="N69" s="20"/>
      <c r="O69" s="20"/>
      <c r="Q69" s="20"/>
      <c r="R69" s="20"/>
      <c r="S69" s="20"/>
      <c r="T69" s="20"/>
      <c r="U69" s="20"/>
      <c r="V69" s="20"/>
      <c r="W69" s="20"/>
      <c r="X69" s="20"/>
    </row>
    <row r="71" spans="1:24" x14ac:dyDescent="0.25">
      <c r="F71" s="20"/>
      <c r="G71" s="20"/>
      <c r="H71" s="20"/>
      <c r="I71" s="20"/>
      <c r="J71" s="20"/>
      <c r="K71" s="30">
        <f>365*24</f>
        <v>8760</v>
      </c>
      <c r="L71" s="20"/>
      <c r="M71" s="20"/>
      <c r="W71" s="20"/>
      <c r="X71" s="20"/>
    </row>
    <row r="72" spans="1:24" x14ac:dyDescent="0.25">
      <c r="F72" s="28"/>
      <c r="G72" s="28"/>
      <c r="H72" s="28"/>
      <c r="I72" s="28"/>
      <c r="J72" s="28"/>
      <c r="K72" s="30">
        <v>0.224</v>
      </c>
      <c r="L72" s="20"/>
      <c r="M72" s="20"/>
      <c r="W72" s="20"/>
      <c r="X72" s="20"/>
    </row>
    <row r="73" spans="1:24" x14ac:dyDescent="0.25">
      <c r="F73" s="28"/>
      <c r="G73" s="28"/>
      <c r="H73" s="28"/>
      <c r="I73" s="28"/>
      <c r="J73" s="28"/>
      <c r="K73" s="30"/>
      <c r="L73" s="20"/>
      <c r="M73" s="20"/>
      <c r="W73" s="20"/>
      <c r="X73" s="20"/>
    </row>
    <row r="74" spans="1:24" x14ac:dyDescent="0.25">
      <c r="F74" s="28"/>
      <c r="G74" s="28"/>
      <c r="H74" s="28"/>
      <c r="I74" s="28"/>
      <c r="J74" s="28"/>
      <c r="K74" s="30"/>
      <c r="L74" s="20"/>
      <c r="M74" s="20"/>
      <c r="W74" s="20"/>
      <c r="X74" s="20"/>
    </row>
    <row r="75" spans="1:24" x14ac:dyDescent="0.25">
      <c r="F75" s="28"/>
      <c r="G75" s="28"/>
      <c r="H75" s="28"/>
      <c r="I75" s="28"/>
      <c r="J75" s="28"/>
      <c r="K75" s="30"/>
      <c r="L75" s="20"/>
      <c r="M75" s="20"/>
      <c r="W75" s="20"/>
      <c r="X75" s="20"/>
    </row>
    <row r="76" spans="1:24" x14ac:dyDescent="0.25">
      <c r="F76" s="28"/>
      <c r="G76" s="28"/>
      <c r="H76" s="28"/>
      <c r="I76" s="28"/>
      <c r="J76" s="28"/>
      <c r="K76" s="30"/>
      <c r="L76" s="20"/>
      <c r="M76" s="20"/>
      <c r="W76" s="20"/>
      <c r="X76" s="20"/>
    </row>
    <row r="77" spans="1:24" x14ac:dyDescent="0.25">
      <c r="K77" s="30"/>
      <c r="L77" s="20"/>
      <c r="M77" s="20"/>
      <c r="W77" s="20"/>
      <c r="X77" s="20"/>
    </row>
    <row r="78" spans="1:24" x14ac:dyDescent="0.25">
      <c r="K78" s="30"/>
      <c r="L78" s="20"/>
      <c r="M78" s="20"/>
      <c r="W78" s="20"/>
      <c r="X78" s="20"/>
    </row>
    <row r="79" spans="1:24" x14ac:dyDescent="0.25">
      <c r="K79" s="30"/>
      <c r="L79" s="20"/>
      <c r="M79" s="20"/>
      <c r="W79" s="20"/>
      <c r="X79" s="20"/>
    </row>
    <row r="80" spans="1:24" x14ac:dyDescent="0.25">
      <c r="K80" s="30"/>
      <c r="L80" s="20"/>
      <c r="M80" s="20"/>
      <c r="W80" s="20"/>
      <c r="X80" s="20"/>
    </row>
    <row r="81" spans="11:24" x14ac:dyDescent="0.25">
      <c r="K81" s="30"/>
      <c r="L81" s="20"/>
      <c r="M81" s="20"/>
      <c r="W81" s="20"/>
      <c r="X81" s="20"/>
    </row>
    <row r="82" spans="11:24" x14ac:dyDescent="0.25">
      <c r="K82" s="30"/>
      <c r="L82" s="20"/>
      <c r="M82" s="20"/>
      <c r="W82" s="20"/>
      <c r="X82" s="20"/>
    </row>
    <row r="83" spans="11:24" x14ac:dyDescent="0.25">
      <c r="K83" s="30"/>
      <c r="L83" s="20"/>
      <c r="M83" s="20"/>
      <c r="W83" s="20"/>
      <c r="X83" s="20"/>
    </row>
    <row r="84" spans="11:24" x14ac:dyDescent="0.25">
      <c r="K84" s="30"/>
      <c r="L84" s="20"/>
      <c r="M84" s="20"/>
      <c r="W84" s="20"/>
      <c r="X84" s="20"/>
    </row>
    <row r="85" spans="11:24" x14ac:dyDescent="0.25">
      <c r="K85" s="30"/>
      <c r="L85" s="20"/>
      <c r="M85" s="20"/>
      <c r="W85" s="20"/>
      <c r="X85" s="20"/>
    </row>
    <row r="86" spans="11:24" x14ac:dyDescent="0.25">
      <c r="K86" s="33"/>
      <c r="L86" s="20"/>
      <c r="M86" s="20"/>
      <c r="W86" s="20"/>
      <c r="X86" s="20"/>
    </row>
    <row r="87" spans="11:24" x14ac:dyDescent="0.25">
      <c r="K87" s="33"/>
      <c r="L87" s="20"/>
      <c r="M87" s="20"/>
      <c r="W87" s="20"/>
      <c r="X87" s="20"/>
    </row>
    <row r="88" spans="11:24" x14ac:dyDescent="0.25">
      <c r="K88" s="30"/>
      <c r="L88" s="20"/>
      <c r="M88" s="20"/>
      <c r="W88" s="20"/>
      <c r="X88" s="20"/>
    </row>
    <row r="89" spans="11:24" x14ac:dyDescent="0.25">
      <c r="K89" s="30"/>
      <c r="L89" s="20"/>
      <c r="M89" s="20"/>
      <c r="W89" s="20"/>
      <c r="X89" s="20"/>
    </row>
    <row r="90" spans="11:24" x14ac:dyDescent="0.25">
      <c r="K90" s="30"/>
      <c r="L90" s="20"/>
      <c r="M90" s="20"/>
      <c r="W90" s="20"/>
      <c r="X90" s="20"/>
    </row>
    <row r="91" spans="11:24" x14ac:dyDescent="0.25">
      <c r="K91" s="30"/>
      <c r="L91" s="20"/>
      <c r="M91" s="20"/>
      <c r="W91" s="20"/>
      <c r="X91" s="20"/>
    </row>
    <row r="92" spans="11:24" x14ac:dyDescent="0.25">
      <c r="K92" s="3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1:24" x14ac:dyDescent="0.25">
      <c r="K93" s="3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1:24" x14ac:dyDescent="0.25"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</row>
    <row r="95" spans="11:24" x14ac:dyDescent="0.25"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</row>
  </sheetData>
  <sheetProtection algorithmName="SHA-256" hashValue="UDUKhZXiESnNWlNFWpbEMsf1MT691TD0lPBAEJZN/qk=" saltValue="uXYk13O4tKF1kQXekl2abg==" spinCount="100000" sheet="1" objects="1" scenarios="1"/>
  <mergeCells count="2">
    <mergeCell ref="B19:C19"/>
    <mergeCell ref="B28:C28"/>
  </mergeCells>
  <dataValidations count="5">
    <dataValidation type="decimal" allowBlank="1" showInputMessage="1" showErrorMessage="1" sqref="B59:F59" xr:uid="{BE50C7F3-C532-4447-8C7A-C6999344FDBA}">
      <formula1>0</formula1>
      <formula2>0.995</formula2>
    </dataValidation>
    <dataValidation type="date" operator="greaterThan" allowBlank="1" showInputMessage="1" showErrorMessage="1" sqref="B31" xr:uid="{84037731-AB7B-4A99-BA22-CB7E918DA5AD}">
      <formula1>43678</formula1>
    </dataValidation>
    <dataValidation operator="greaterThan" allowBlank="1" showInputMessage="1" showErrorMessage="1" sqref="B32" xr:uid="{332AE0BB-8A28-44C8-AB87-4348C3F87A1C}"/>
    <dataValidation type="whole" allowBlank="1" showInputMessage="1" showErrorMessage="1" sqref="B51:F51" xr:uid="{87C97278-EB81-45C0-8A18-683E2089EE07}">
      <formula1>1</formula1>
      <formula2>45</formula2>
    </dataValidation>
    <dataValidation type="decimal" allowBlank="1" showInputMessage="1" showErrorMessage="1" errorTitle="Percentage" error="Enter as a percentage" promptTitle="Percentage" prompt="Enter as a percentage" sqref="B54" xr:uid="{366D3694-E2DA-484F-A7A6-E755354B2CA7}">
      <formula1>0.01</formula1>
      <formula2>1</formula2>
    </dataValidation>
  </dataValidations>
  <hyperlinks>
    <hyperlink ref="F22" r:id="rId1" location="/" xr:uid="{872347B2-3BF6-42CF-9DB9-0E0C8DE640ED}"/>
    <hyperlink ref="F43" r:id="rId2" xr:uid="{A159C921-5164-4AFF-9D8E-13B7E5708032}"/>
    <hyperlink ref="F47" r:id="rId3" xr:uid="{8579E830-1CFE-49F2-8DE2-BC33ABC7A379}"/>
  </hyperlinks>
  <pageMargins left="0.7" right="0.7" top="0.75" bottom="0.75" header="0.3" footer="0.3"/>
  <pageSetup orientation="portrait"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271722-99B8-48B6-B4C3-516E1AB56026}">
          <x14:formula1>
            <xm:f>Sheet2!$D$6:$I$6</xm:f>
          </x14:formula1>
          <xm:sqref>B53:F53</xm:sqref>
        </x14:dataValidation>
        <x14:dataValidation type="list" allowBlank="1" showInputMessage="1" showErrorMessage="1" xr:uid="{BAE5AF67-A8EB-42C0-981F-6600465437A8}">
          <x14:formula1>
            <xm:f>Sheet2!$B$7:$B$22</xm:f>
          </x14:formula1>
          <xm:sqref>B52:F52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46C30D8F8B94A85AF65D1EB28BF95" ma:contentTypeVersion="6" ma:contentTypeDescription="Create a new document." ma:contentTypeScope="" ma:versionID="d3ed8afb2df344cb4edb24d6febda055">
  <xsd:schema xmlns:xsd="http://www.w3.org/2001/XMLSchema" xmlns:xs="http://www.w3.org/2001/XMLSchema" xmlns:p="http://schemas.microsoft.com/office/2006/metadata/properties" xmlns:ns1="http://schemas.microsoft.com/sharepoint/v3" xmlns:ns2="bd0c842e-ccb8-45b3-bf19-54021791c070" targetNamespace="http://schemas.microsoft.com/office/2006/metadata/properties" ma:root="true" ma:fieldsID="5782905c1fdcac2a44c6b97d9eb554d1" ns1:_="" ns2:_="">
    <xsd:import namespace="http://schemas.microsoft.com/sharepoint/v3"/>
    <xsd:import namespace="bd0c842e-ccb8-45b3-bf19-54021791c07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b4bd5fba8d744cd79b64cbe40b0f54b8" minOccurs="0"/>
                <xsd:element ref="ns2:TaxCatchAll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c842e-ccb8-45b3-bf19-54021791c070" elementFormDefault="qualified">
    <xsd:import namespace="http://schemas.microsoft.com/office/2006/documentManagement/types"/>
    <xsd:import namespace="http://schemas.microsoft.com/office/infopath/2007/PartnerControls"/>
    <xsd:element name="b4bd5fba8d744cd79b64cbe40b0f54b8" ma:index="11" nillable="true" ma:taxonomy="true" ma:internalName="b4bd5fba8d744cd79b64cbe40b0f54b8" ma:taxonomyFieldName="Utility_x0020_Tags" ma:displayName="Utility Tags" ma:default="" ma:fieldId="{b4bd5fba-8d74-4cd7-9b64-cbe40b0f54b8}" ma:taxonomyMulti="true" ma:sspId="06dc7d3b-7a16-4c29-ad55-883c5423c0e9" ma:termSetId="d82bbbc0-7f3c-41a5-941b-44a2d209763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3cbe9698-6d62-48e8-9299-078768bcab9f}" ma:internalName="TaxCatchAll" ma:showField="CatchAllData" ma:web="bd0c842e-ccb8-45b3-bf19-54021791c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0c842e-ccb8-45b3-bf19-54021791c070"/>
    <b4bd5fba8d744cd79b64cbe40b0f54b8 xmlns="bd0c842e-ccb8-45b3-bf19-54021791c070">
      <Terms xmlns="http://schemas.microsoft.com/office/infopath/2007/PartnerControls"/>
    </b4bd5fba8d744cd79b64cbe40b0f54b8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F50D76-B748-41FE-98CE-D2C23FD44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5BDB3-625E-4C2B-958C-5A3017FF0DAA}"/>
</file>

<file path=customXml/itemProps3.xml><?xml version="1.0" encoding="utf-8"?>
<ds:datastoreItem xmlns:ds="http://schemas.openxmlformats.org/officeDocument/2006/customXml" ds:itemID="{A2899F1D-6704-41A3-A870-E237404946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Sizing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Herrold</dc:creator>
  <cp:lastModifiedBy>Jeremy Herrold</cp:lastModifiedBy>
  <dcterms:created xsi:type="dcterms:W3CDTF">2022-03-07T14:30:19Z</dcterms:created>
  <dcterms:modified xsi:type="dcterms:W3CDTF">2023-04-19T14:18:04Z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2003354022</vt:i4>
  </property>
  <property fmtid="{D5CDD505-2E9C-101B-9397-08002B2CF9AE}" pid="3" name="_NewReviewCycle">
    <vt:lpwstr/>
  </property>
  <property fmtid="{D5CDD505-2E9C-101B-9397-08002B2CF9AE}" pid="4" name="_EmailSubject">
    <vt:lpwstr>Revised Calculator</vt:lpwstr>
  </property>
  <property fmtid="{D5CDD505-2E9C-101B-9397-08002B2CF9AE}" pid="5" name="_AuthorEmail">
    <vt:lpwstr>eritchey@csu.org</vt:lpwstr>
  </property>
  <property fmtid="{D5CDD505-2E9C-101B-9397-08002B2CF9AE}" pid="6" name="_AuthorEmailDisplayName">
    <vt:lpwstr>Elizabeth Ritchey</vt:lpwstr>
  </property>
  <property fmtid="{D5CDD505-2E9C-101B-9397-08002B2CF9AE}" pid="7" name="_PreviousAdHocReviewCycleID">
    <vt:i4>-1928029271</vt:i4>
  </property>
  <property fmtid="{D5CDD505-2E9C-101B-9397-08002B2CF9AE}" pid="8" name="ContentTypeId">
    <vt:lpwstr>0x010100FC946C30D8F8B94A85AF65D1EB28BF95</vt:lpwstr>
  </property>
</Properties>
</file>